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gresos" sheetId="1" r:id="rId4"/>
    <sheet state="visible" name="Costos y punto de equilibrio" sheetId="2" r:id="rId5"/>
    <sheet state="visible" name="Tamaño de Inversión" sheetId="3" r:id="rId6"/>
  </sheets>
  <definedNames/>
  <calcPr/>
  <extLst>
    <ext uri="GoogleSheetsCustomDataVersion2">
      <go:sheetsCustomData xmlns:go="http://customooxmlschemas.google.com/" r:id="rId7" roundtripDataChecksum="AGyQE3WqV/SQzv7BPpFAGrSsDZTcanXxHM8aJUNw3jA="/>
    </ext>
  </extLst>
</workbook>
</file>

<file path=xl/sharedStrings.xml><?xml version="1.0" encoding="utf-8"?>
<sst xmlns="http://schemas.openxmlformats.org/spreadsheetml/2006/main" count="96" uniqueCount="76">
  <si>
    <t>Meses después del lanzamiento de CRACKICE</t>
  </si>
  <si>
    <t>Porcentaje de clientes utilizando CRACKICE</t>
  </si>
  <si>
    <t xml:space="preserve">Clientes promedio  en Pola del Pub </t>
  </si>
  <si>
    <t>Clientes utilizando CRACKICE</t>
  </si>
  <si>
    <t>Cervezas vendidas con CRACKICE</t>
  </si>
  <si>
    <t>Clientes promedio que consumen cerveza enPola del Pub  mensuales</t>
  </si>
  <si>
    <t>Ingresos provenientes de los clientes que utilizan CRACKICE</t>
  </si>
  <si>
    <t>Cervezas vendidas sin CRACKICE</t>
  </si>
  <si>
    <t xml:space="preserve">Ingresos promedio de cerveza Pola del Pub </t>
  </si>
  <si>
    <t>Ingresos provenientes de los clientes que no utilizan CRACKICE</t>
  </si>
  <si>
    <t>Ingresos totales sin CRACKICE</t>
  </si>
  <si>
    <t xml:space="preserve">Pintas promedio consumidas por persona por mes </t>
  </si>
  <si>
    <t>Ingresos totales de Pola del Pub</t>
  </si>
  <si>
    <t>Ingresos adicionales con CRACKICE</t>
  </si>
  <si>
    <t>Pintas promedio adicionales consumidas con CRACKICE</t>
  </si>
  <si>
    <t>ingresos totales con CRACKICE</t>
  </si>
  <si>
    <t>Costo mensual por PUB de la app para Pola del Pub</t>
  </si>
  <si>
    <t>Aumento de ingresos de Pola del Pub</t>
  </si>
  <si>
    <t>Costo total mensual  de la app para Pola del Pub</t>
  </si>
  <si>
    <t>Costo total de utilizar CRACKICE</t>
  </si>
  <si>
    <t>Comisión por cada bebida vendida con CRACKICE</t>
  </si>
  <si>
    <t>Costo beneficio Pola del Pub</t>
  </si>
  <si>
    <t>Utilidad para Pola del Pub</t>
  </si>
  <si>
    <t xml:space="preserve">COSTOS INICIALES </t>
  </si>
  <si>
    <t>FASE 1: PRUEBA PILOTO INICIAL</t>
  </si>
  <si>
    <t>COSTOS DE OPERACIÓN MENSUALES DESPUÉS DE LANZAMIENTO</t>
  </si>
  <si>
    <t>Costo desarrollo prueba CRACKICE (1 mes)</t>
  </si>
  <si>
    <t>Actualización de dispositivos (7 - 12 mes)</t>
  </si>
  <si>
    <t>Costo transportes mensuales (1 - 2 mes)</t>
  </si>
  <si>
    <t>Actualización de contenido (7 - 12 mes)</t>
  </si>
  <si>
    <t>Costo bebidas (1-2 mes)</t>
  </si>
  <si>
    <t>Costos de mantenimiento primer año (7 - 12 mes)</t>
  </si>
  <si>
    <t>Adquisición FIGMA (1 - 2 mes)</t>
  </si>
  <si>
    <t>Facebook e Instagram Ads ((7 - 12 mes)</t>
  </si>
  <si>
    <t>FASE 2: PRUEBA BETA POLA DEL PUB</t>
  </si>
  <si>
    <t>Costo desarrollo aplicación Pola del Pub (15% mes 3 y 85% mes 7)</t>
  </si>
  <si>
    <t>Reserva para imprevistos (7 - 12 mes)</t>
  </si>
  <si>
    <t>Corrección de errores (8 - 12 mes)</t>
  </si>
  <si>
    <t>Constitución empresa (5 mes</t>
  </si>
  <si>
    <t>Patente (5 mes)</t>
  </si>
  <si>
    <t>Captación de clientes voz a voz (1 - 12 mes)</t>
  </si>
  <si>
    <t>1 MES</t>
  </si>
  <si>
    <t>2 MES</t>
  </si>
  <si>
    <t>3 MES</t>
  </si>
  <si>
    <t>4 MES</t>
  </si>
  <si>
    <t>5 MES</t>
  </si>
  <si>
    <t>6 MES</t>
  </si>
  <si>
    <t>7 MES</t>
  </si>
  <si>
    <t>8 MES</t>
  </si>
  <si>
    <t>9 MES</t>
  </si>
  <si>
    <t>10 MES</t>
  </si>
  <si>
    <t>11 MES</t>
  </si>
  <si>
    <t>12 MES</t>
  </si>
  <si>
    <t>TOTAL PRIMER AÑO</t>
  </si>
  <si>
    <t>PRUEBA PILOTO INICIAL</t>
  </si>
  <si>
    <t>Costo desarrollo prueba CRACKICE</t>
  </si>
  <si>
    <t>Costo transportes mensuales</t>
  </si>
  <si>
    <t>Costo bebidas</t>
  </si>
  <si>
    <t>Adquisición FIGMA</t>
  </si>
  <si>
    <t xml:space="preserve">PRUEBA BETA POLA DEL PUB </t>
  </si>
  <si>
    <t>Costo desarrollo aplicación Pola del Pub</t>
  </si>
  <si>
    <t>Reserva para imprevistos</t>
  </si>
  <si>
    <t>Corrección de errores</t>
  </si>
  <si>
    <t>Constitución empresa</t>
  </si>
  <si>
    <t>Patente</t>
  </si>
  <si>
    <t>Captación de clientes voz a voz (12 meses)</t>
  </si>
  <si>
    <t>Actualización de dispositivos</t>
  </si>
  <si>
    <t>Actualización de contenido</t>
  </si>
  <si>
    <t>Costos de mantenimiento primer año</t>
  </si>
  <si>
    <t>Facebook e Instagram Ads (Segunda mitad del año)</t>
  </si>
  <si>
    <t>TOTAL COSTOS</t>
  </si>
  <si>
    <t>TOTAL INGRESOS</t>
  </si>
  <si>
    <t>UTILIDAD</t>
  </si>
  <si>
    <t>MARGEN BRUTO</t>
  </si>
  <si>
    <t>TOTAL</t>
  </si>
  <si>
    <t>TOTAL INVERSIÓN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</si>
</sst>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-&quot;$&quot;\ * #,##0.00_-;\-&quot;$&quot;\ * #,##0.00_-;_-&quot;$&quot;\ * &quot;-&quot;??_-;_-@"/>
    <numFmt numFmtId="165" formatCode="_-&quot;$&quot;\ * #,##0_-;\-&quot;$&quot;\ * #,##0_-;_-&quot;$&quot;\ * &quot;-&quot;??_-;_-@"/>
    <numFmt numFmtId="166" formatCode="0.0"/>
  </numFmts>
  <fonts count="6">
    <font>
      <sz val="11.0"/>
      <color theme="1"/>
      <name val="Calibri"/>
      <scheme val="minor"/>
    </font>
    <font>
      <sz val="11.0"/>
      <color theme="1"/>
      <name val="Calibri"/>
    </font>
    <font/>
    <font>
      <sz val="11.0"/>
      <color theme="0"/>
      <name val="Calibri"/>
    </font>
    <font>
      <b/>
      <sz val="11.0"/>
      <color theme="0"/>
      <name val="Calibri"/>
    </font>
    <font>
      <b/>
      <sz val="11.0"/>
      <color theme="1"/>
      <name val="Calibri"/>
    </font>
  </fonts>
  <fills count="10">
    <fill>
      <patternFill patternType="none"/>
    </fill>
    <fill>
      <patternFill patternType="lightGray"/>
    </fill>
    <fill>
      <patternFill patternType="solid">
        <fgColor rgb="FF002060"/>
        <bgColor rgb="FF002060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  <fill>
      <patternFill patternType="solid">
        <fgColor rgb="FF0C0C0C"/>
        <bgColor rgb="FF0C0C0C"/>
      </patternFill>
    </fill>
    <fill>
      <patternFill patternType="solid">
        <fgColor rgb="FFC8C8C8"/>
        <bgColor rgb="FFC8C8C8"/>
      </patternFill>
    </fill>
    <fill>
      <patternFill patternType="solid">
        <fgColor rgb="FFF4B083"/>
        <bgColor rgb="FFF4B083"/>
      </patternFill>
    </fill>
    <fill>
      <patternFill patternType="solid">
        <fgColor rgb="FFC5E0B3"/>
        <bgColor rgb="FFC5E0B3"/>
      </patternFill>
    </fill>
    <fill>
      <patternFill patternType="solid">
        <fgColor rgb="FFFFE598"/>
        <bgColor rgb="FFFFE598"/>
      </patternFill>
    </fill>
  </fills>
  <borders count="2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bottom/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5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horizontal="center" vertical="center"/>
    </xf>
    <xf borderId="1" fillId="0" fontId="1" numFmtId="0" xfId="0" applyBorder="1" applyFont="1"/>
    <xf borderId="1" fillId="0" fontId="1" numFmtId="9" xfId="0" applyBorder="1" applyFont="1" applyNumberFormat="1"/>
    <xf borderId="1" fillId="0" fontId="1" numFmtId="0" xfId="0" applyAlignment="1" applyBorder="1" applyFont="1">
      <alignment horizontal="center" vertical="center"/>
    </xf>
    <xf borderId="1" fillId="0" fontId="1" numFmtId="1" xfId="0" applyBorder="1" applyFont="1" applyNumberFormat="1"/>
    <xf borderId="1" fillId="0" fontId="1" numFmtId="164" xfId="0" applyBorder="1" applyFont="1" applyNumberFormat="1"/>
    <xf borderId="1" fillId="0" fontId="1" numFmtId="165" xfId="0" applyBorder="1" applyFont="1" applyNumberFormat="1"/>
    <xf borderId="2" fillId="0" fontId="1" numFmtId="2" xfId="0" applyBorder="1" applyFont="1" applyNumberFormat="1"/>
    <xf borderId="1" fillId="0" fontId="1" numFmtId="166" xfId="0" applyBorder="1" applyFont="1" applyNumberFormat="1"/>
    <xf borderId="2" fillId="0" fontId="1" numFmtId="0" xfId="0" applyBorder="1" applyFont="1"/>
    <xf borderId="0" fillId="0" fontId="1" numFmtId="165" xfId="0" applyFont="1" applyNumberFormat="1"/>
    <xf borderId="2" fillId="0" fontId="1" numFmtId="0" xfId="0" applyAlignment="1" applyBorder="1" applyFont="1">
      <alignment readingOrder="0"/>
    </xf>
    <xf borderId="0" fillId="0" fontId="1" numFmtId="164" xfId="0" applyFont="1" applyNumberFormat="1"/>
    <xf borderId="0" fillId="0" fontId="1" numFmtId="2" xfId="0" applyFont="1" applyNumberFormat="1"/>
    <xf borderId="3" fillId="0" fontId="1" numFmtId="0" xfId="0" applyAlignment="1" applyBorder="1" applyFont="1">
      <alignment horizontal="center"/>
    </xf>
    <xf borderId="4" fillId="0" fontId="2" numFmtId="0" xfId="0" applyBorder="1" applyFont="1"/>
    <xf borderId="3" fillId="2" fontId="3" numFmtId="0" xfId="0" applyAlignment="1" applyBorder="1" applyFill="1" applyFont="1">
      <alignment horizontal="center" vertical="center"/>
    </xf>
    <xf borderId="1" fillId="2" fontId="4" numFmtId="165" xfId="0" applyAlignment="1" applyBorder="1" applyFont="1" applyNumberFormat="1">
      <alignment horizontal="center" shrinkToFit="0" vertical="center" wrapText="1"/>
    </xf>
    <xf borderId="1" fillId="2" fontId="4" numFmtId="0" xfId="0" applyAlignment="1" applyBorder="1" applyFont="1">
      <alignment horizontal="center" shrinkToFit="0" vertical="center" wrapText="1"/>
    </xf>
    <xf borderId="5" fillId="2" fontId="4" numFmtId="0" xfId="0" applyAlignment="1" applyBorder="1" applyFont="1">
      <alignment horizontal="center" shrinkToFit="0" vertical="center" wrapText="1"/>
    </xf>
    <xf borderId="6" fillId="3" fontId="5" numFmtId="0" xfId="0" applyAlignment="1" applyBorder="1" applyFill="1" applyFont="1">
      <alignment horizontal="center" shrinkToFit="0" vertical="center" wrapText="1"/>
    </xf>
    <xf borderId="1" fillId="3" fontId="1" numFmtId="0" xfId="0" applyAlignment="1" applyBorder="1" applyFont="1">
      <alignment vertical="center"/>
    </xf>
    <xf borderId="1" fillId="3" fontId="1" numFmtId="165" xfId="0" applyAlignment="1" applyBorder="1" applyFont="1" applyNumberFormat="1">
      <alignment vertical="center"/>
    </xf>
    <xf borderId="2" fillId="0" fontId="2" numFmtId="0" xfId="0" applyBorder="1" applyFont="1"/>
    <xf borderId="1" fillId="3" fontId="1" numFmtId="164" xfId="0" applyAlignment="1" applyBorder="1" applyFont="1" applyNumberFormat="1">
      <alignment vertical="center"/>
    </xf>
    <xf borderId="7" fillId="0" fontId="2" numFmtId="0" xfId="0" applyBorder="1" applyFont="1"/>
    <xf borderId="6" fillId="4" fontId="5" numFmtId="0" xfId="0" applyAlignment="1" applyBorder="1" applyFill="1" applyFont="1">
      <alignment horizontal="center" shrinkToFit="0" vertical="center" wrapText="1"/>
    </xf>
    <xf borderId="1" fillId="4" fontId="1" numFmtId="0" xfId="0" applyAlignment="1" applyBorder="1" applyFont="1">
      <alignment vertical="center"/>
    </xf>
    <xf borderId="1" fillId="4" fontId="1" numFmtId="165" xfId="0" applyAlignment="1" applyBorder="1" applyFont="1" applyNumberFormat="1">
      <alignment vertical="center"/>
    </xf>
    <xf borderId="1" fillId="4" fontId="1" numFmtId="164" xfId="0" applyAlignment="1" applyBorder="1" applyFont="1" applyNumberFormat="1">
      <alignment vertical="center"/>
    </xf>
    <xf borderId="8" fillId="4" fontId="1" numFmtId="0" xfId="0" applyAlignment="1" applyBorder="1" applyFont="1">
      <alignment vertical="center"/>
    </xf>
    <xf borderId="8" fillId="4" fontId="1" numFmtId="164" xfId="0" applyAlignment="1" applyBorder="1" applyFont="1" applyNumberFormat="1">
      <alignment vertical="center"/>
    </xf>
    <xf borderId="9" fillId="5" fontId="1" numFmtId="0" xfId="0" applyAlignment="1" applyBorder="1" applyFill="1" applyFont="1">
      <alignment horizontal="center" vertical="center"/>
    </xf>
    <xf borderId="10" fillId="6" fontId="5" numFmtId="0" xfId="0" applyAlignment="1" applyBorder="1" applyFill="1" applyFont="1">
      <alignment horizontal="right" vertical="center"/>
    </xf>
    <xf borderId="11" fillId="6" fontId="5" numFmtId="165" xfId="0" applyAlignment="1" applyBorder="1" applyFont="1" applyNumberFormat="1">
      <alignment vertical="center"/>
    </xf>
    <xf borderId="12" fillId="6" fontId="5" numFmtId="165" xfId="0" applyAlignment="1" applyBorder="1" applyFont="1" applyNumberFormat="1">
      <alignment vertical="center"/>
    </xf>
    <xf borderId="13" fillId="0" fontId="2" numFmtId="0" xfId="0" applyBorder="1" applyFont="1"/>
    <xf borderId="10" fillId="7" fontId="5" numFmtId="0" xfId="0" applyAlignment="1" applyBorder="1" applyFill="1" applyFont="1">
      <alignment horizontal="right" vertical="center"/>
    </xf>
    <xf borderId="11" fillId="7" fontId="5" numFmtId="165" xfId="0" applyAlignment="1" applyBorder="1" applyFont="1" applyNumberFormat="1">
      <alignment vertical="center"/>
    </xf>
    <xf borderId="12" fillId="7" fontId="5" numFmtId="165" xfId="0" applyAlignment="1" applyBorder="1" applyFont="1" applyNumberFormat="1">
      <alignment vertical="center"/>
    </xf>
    <xf borderId="14" fillId="8" fontId="5" numFmtId="0" xfId="0" applyAlignment="1" applyBorder="1" applyFill="1" applyFont="1">
      <alignment horizontal="right" vertical="center"/>
    </xf>
    <xf borderId="15" fillId="8" fontId="5" numFmtId="165" xfId="0" applyAlignment="1" applyBorder="1" applyFont="1" applyNumberFormat="1">
      <alignment vertical="center"/>
    </xf>
    <xf borderId="16" fillId="8" fontId="5" numFmtId="165" xfId="0" applyAlignment="1" applyBorder="1" applyFont="1" applyNumberFormat="1">
      <alignment vertical="center"/>
    </xf>
    <xf borderId="17" fillId="0" fontId="2" numFmtId="0" xfId="0" applyBorder="1" applyFont="1"/>
    <xf borderId="10" fillId="9" fontId="5" numFmtId="0" xfId="0" applyAlignment="1" applyBorder="1" applyFill="1" applyFont="1">
      <alignment horizontal="center" vertical="center"/>
    </xf>
    <xf borderId="18" fillId="9" fontId="1" numFmtId="9" xfId="0" applyAlignment="1" applyBorder="1" applyFont="1" applyNumberFormat="1">
      <alignment horizontal="center"/>
    </xf>
    <xf borderId="19" fillId="9" fontId="5" numFmtId="9" xfId="0" applyAlignment="1" applyBorder="1" applyFont="1" applyNumberFormat="1">
      <alignment horizontal="center"/>
    </xf>
    <xf borderId="0" fillId="0" fontId="5" numFmtId="0" xfId="0" applyAlignment="1" applyFont="1">
      <alignment horizontal="center"/>
    </xf>
    <xf borderId="5" fillId="4" fontId="1" numFmtId="0" xfId="0" applyAlignment="1" applyBorder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400">
                <a:solidFill>
                  <a:schemeClr val="lt1"/>
                </a:solidFill>
                <a:latin typeface="+mn-lt"/>
              </a:defRPr>
            </a:pPr>
            <a:r>
              <a:rPr b="1" i="0" sz="1400">
                <a:solidFill>
                  <a:schemeClr val="lt1"/>
                </a:solidFill>
                <a:latin typeface="+mn-lt"/>
              </a:rPr>
              <a:t>Costo beneficio de Pola del Pub cuando aumenta el ticket de CRACKICE</a:t>
            </a:r>
          </a:p>
        </c:rich>
      </c:tx>
      <c:layout>
        <c:manualLayout>
          <c:xMode val="edge"/>
          <c:yMode val="edge"/>
          <c:x val="0.20594171997157074"/>
          <c:y val="0.02777774686291422"/>
        </c:manualLayout>
      </c:layout>
      <c:overlay val="0"/>
    </c:title>
    <c:plotArea>
      <c:layout/>
      <c:scatterChart>
        <c:scatterStyle val="lineMarker"/>
        <c:varyColors val="0"/>
        <c:ser>
          <c:idx val="0"/>
          <c:order val="0"/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xVal>
            <c:numRef>
              <c:f>ingresos!$G$3:$K$3</c:f>
            </c:numRef>
          </c:xVal>
          <c:yVal>
            <c:numRef>
              <c:f>ingresos!$G$10:$K$10</c:f>
              <c:numCache/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5150510"/>
        <c:axId val="684132427"/>
      </c:scatterChart>
      <c:valAx>
        <c:axId val="1095150510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lt1"/>
                </a:solidFill>
                <a:latin typeface="+mn-lt"/>
              </a:defRPr>
            </a:pPr>
          </a:p>
        </c:txPr>
        <c:crossAx val="684132427"/>
      </c:valAx>
      <c:valAx>
        <c:axId val="68413242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lt1"/>
                </a:solidFill>
                <a:latin typeface="+mn-lt"/>
              </a:defRPr>
            </a:pPr>
          </a:p>
        </c:txPr>
        <c:crossAx val="1095150510"/>
      </c:valAx>
    </c:plotArea>
    <c:plotVisOnly val="1"/>
  </c:chart>
  <c:spPr>
    <a:solidFill>
      <a:schemeClr val="dk1"/>
    </a:solidFill>
  </c:spPr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400">
                <a:solidFill>
                  <a:schemeClr val="lt1"/>
                </a:solidFill>
                <a:latin typeface="+mn-lt"/>
              </a:defRPr>
            </a:pPr>
            <a:r>
              <a:rPr b="1" i="0" sz="1400">
                <a:solidFill>
                  <a:schemeClr val="lt1"/>
                </a:solidFill>
                <a:latin typeface="+mn-lt"/>
              </a:rPr>
              <a:t>VENTAS DE CERVEZA POR MES</a:t>
            </a:r>
          </a:p>
        </c:rich>
      </c:tx>
      <c:overlay val="0"/>
    </c:title>
    <c:plotArea>
      <c:layout/>
      <c:scatterChart>
        <c:scatterStyle val="lineMarker"/>
        <c:ser>
          <c:idx val="0"/>
          <c:order val="0"/>
          <c:tx>
            <c:v>Cervezas vendidas con CRACKICE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xVal>
            <c:numRef>
              <c:f>ingresos!$N$2:$S$2</c:f>
            </c:numRef>
          </c:xVal>
          <c:yVal>
            <c:numRef>
              <c:f>ingresos!$N$3:$S$3</c:f>
              <c:numCache/>
            </c:numRef>
          </c:yVal>
        </c:ser>
        <c:ser>
          <c:idx val="1"/>
          <c:order val="1"/>
          <c:tx>
            <c:v>Cervezas vendidas sin CRACKICE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cmpd="sng">
                <a:solidFill>
                  <a:schemeClr val="accent2"/>
                </a:solidFill>
              </a:ln>
            </c:spPr>
          </c:marker>
          <c:xVal>
            <c:numRef>
              <c:f>ingresos!$N$2:$S$2</c:f>
            </c:numRef>
          </c:xVal>
          <c:yVal>
            <c:numRef>
              <c:f>ingresos!$N$4:$S$4</c:f>
              <c:numCache/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5119238"/>
        <c:axId val="28739551"/>
      </c:scatterChart>
      <c:valAx>
        <c:axId val="1055119238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lt1"/>
                </a:solidFill>
                <a:latin typeface="+mn-lt"/>
              </a:defRPr>
            </a:pPr>
          </a:p>
        </c:txPr>
        <c:crossAx val="28739551"/>
      </c:valAx>
      <c:valAx>
        <c:axId val="2873955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lt1"/>
                </a:solidFill>
                <a:latin typeface="+mn-lt"/>
              </a:defRPr>
            </a:pPr>
          </a:p>
        </c:txPr>
        <c:crossAx val="1055119238"/>
      </c:valAx>
    </c:plotArea>
    <c:legend>
      <c:legendPos val="t"/>
      <c:overlay val="0"/>
      <c:txPr>
        <a:bodyPr/>
        <a:lstStyle/>
        <a:p>
          <a:pPr lvl="0">
            <a:defRPr b="0" i="0" sz="900">
              <a:solidFill>
                <a:schemeClr val="lt1"/>
              </a:solidFill>
              <a:latin typeface="+mn-lt"/>
            </a:defRPr>
          </a:pPr>
        </a:p>
      </c:txPr>
    </c:legend>
    <c:plotVisOnly val="1"/>
  </c:chart>
  <c:spPr>
    <a:solidFill>
      <a:schemeClr val="dk1"/>
    </a:solidFill>
  </c:spPr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600">
                <a:solidFill>
                  <a:schemeClr val="lt1"/>
                </a:solidFill>
                <a:latin typeface="+mn-lt"/>
              </a:defRPr>
            </a:pPr>
            <a:r>
              <a:rPr b="1" i="0" sz="1600">
                <a:solidFill>
                  <a:schemeClr val="lt1"/>
                </a:solidFill>
                <a:latin typeface="+mn-lt"/>
              </a:rPr>
              <a:t>Ingresos totales en Pola del Pub con CRACKICE</a:t>
            </a:r>
          </a:p>
        </c:rich>
      </c:tx>
      <c:layout>
        <c:manualLayout>
          <c:xMode val="edge"/>
          <c:yMode val="edge"/>
          <c:x val="0.11654155730533683"/>
          <c:y val="0.0"/>
        </c:manualLayout>
      </c:layout>
      <c:overlay val="0"/>
    </c:title>
    <c:plotArea>
      <c:layout/>
      <c:barChart>
        <c:barDir val="col"/>
        <c:grouping val="stacked"/>
        <c:ser>
          <c:idx val="0"/>
          <c:order val="0"/>
          <c:tx>
            <c:v>Ingresos totales sin CRACKICE</c:v>
          </c:tx>
          <c:spPr>
            <a:solidFill>
              <a:schemeClr val="accent4"/>
            </a:solidFill>
            <a:ln cmpd="sng">
              <a:solidFill>
                <a:srgbClr val="000000"/>
              </a:solidFill>
            </a:ln>
          </c:spPr>
          <c:val>
            <c:numRef>
              <c:f>ingresos!$N$5:$S$5</c:f>
              <c:numCache/>
            </c:numRef>
          </c:val>
        </c:ser>
        <c:ser>
          <c:idx val="1"/>
          <c:order val="1"/>
          <c:tx>
            <c:v>Ingresos adicionales con CRACKICE</c:v>
          </c:tx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val>
            <c:numRef>
              <c:f>ingresos!$N$6:$S$6</c:f>
              <c:numCache/>
            </c:numRef>
          </c:val>
        </c:ser>
        <c:overlap val="100"/>
        <c:axId val="1024454546"/>
        <c:axId val="1341335452"/>
      </c:barChart>
      <c:catAx>
        <c:axId val="102445454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chemeClr val="lt1"/>
                </a:solidFill>
                <a:latin typeface="+mn-lt"/>
              </a:defRPr>
            </a:pPr>
          </a:p>
        </c:txPr>
        <c:crossAx val="1341335452"/>
      </c:catAx>
      <c:valAx>
        <c:axId val="134133545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lt1"/>
                </a:solidFill>
                <a:latin typeface="+mn-lt"/>
              </a:defRPr>
            </a:pPr>
          </a:p>
        </c:txPr>
        <c:crossAx val="1024454546"/>
      </c:valAx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chemeClr val="lt1"/>
              </a:solidFill>
              <a:latin typeface="+mn-lt"/>
            </a:defRPr>
          </a:pPr>
        </a:p>
      </c:txPr>
    </c:legend>
    <c:plotVisOnly val="1"/>
  </c:chart>
  <c:spPr>
    <a:solidFill>
      <a:schemeClr val="dk1"/>
    </a:solidFill>
  </c:spPr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ingresos!$E$9</c:f>
            </c:strRef>
          </c:cat>
          <c:val>
            <c:numRef>
              <c:f>ingresos!$F$9</c:f>
              <c:numCache/>
            </c:numRef>
          </c:val>
        </c:ser>
        <c:ser>
          <c:idx val="1"/>
          <c:order val="1"/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ingresos!$E$9</c:f>
            </c:strRef>
          </c:cat>
          <c:val>
            <c:numRef>
              <c:f>ingresos!$G$9</c:f>
              <c:numCache/>
            </c:numRef>
          </c:val>
        </c:ser>
        <c:ser>
          <c:idx val="2"/>
          <c:order val="2"/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cat>
            <c:strRef>
              <c:f>ingresos!$E$9</c:f>
            </c:strRef>
          </c:cat>
          <c:val>
            <c:numRef>
              <c:f>ingresos!$H$9</c:f>
              <c:numCache/>
            </c:numRef>
          </c:val>
        </c:ser>
        <c:ser>
          <c:idx val="3"/>
          <c:order val="3"/>
          <c:spPr>
            <a:solidFill>
              <a:schemeClr val="accent4"/>
            </a:solidFill>
            <a:ln cmpd="sng">
              <a:solidFill>
                <a:srgbClr val="000000"/>
              </a:solidFill>
            </a:ln>
          </c:spPr>
          <c:cat>
            <c:strRef>
              <c:f>ingresos!$E$9</c:f>
            </c:strRef>
          </c:cat>
          <c:val>
            <c:numRef>
              <c:f>ingresos!$I$9</c:f>
              <c:numCache/>
            </c:numRef>
          </c:val>
        </c:ser>
        <c:ser>
          <c:idx val="4"/>
          <c:order val="4"/>
          <c:spPr>
            <a:solidFill>
              <a:schemeClr val="accent5"/>
            </a:solidFill>
            <a:ln cmpd="sng">
              <a:solidFill>
                <a:srgbClr val="000000"/>
              </a:solidFill>
            </a:ln>
          </c:spPr>
          <c:cat>
            <c:strRef>
              <c:f>ingresos!$E$9</c:f>
            </c:strRef>
          </c:cat>
          <c:val>
            <c:numRef>
              <c:f>ingresos!$J$9</c:f>
              <c:numCache/>
            </c:numRef>
          </c:val>
        </c:ser>
        <c:ser>
          <c:idx val="5"/>
          <c:order val="5"/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cat>
            <c:strRef>
              <c:f>ingresos!$E$9</c:f>
            </c:strRef>
          </c:cat>
          <c:val>
            <c:numRef>
              <c:f>ingresos!$K$9</c:f>
              <c:numCache/>
            </c:numRef>
          </c:val>
        </c:ser>
        <c:ser>
          <c:idx val="6"/>
          <c:order val="6"/>
          <c:spPr>
            <a:solidFill>
              <a:schemeClr val="accent1">
                <a:lumOff val="30000"/>
              </a:schemeClr>
            </a:solidFill>
            <a:ln cmpd="sng">
              <a:solidFill>
                <a:srgbClr val="000000"/>
              </a:solidFill>
            </a:ln>
          </c:spPr>
          <c:cat>
            <c:strRef>
              <c:f>ingresos!$E$9</c:f>
            </c:strRef>
          </c:cat>
          <c:val>
            <c:numRef>
              <c:f>ingresos!$E$12</c:f>
              <c:numCache/>
            </c:numRef>
          </c:val>
        </c:ser>
        <c:ser>
          <c:idx val="7"/>
          <c:order val="7"/>
          <c:spPr>
            <a:solidFill>
              <a:schemeClr val="accent2">
                <a:lumOff val="30000"/>
              </a:schemeClr>
            </a:solidFill>
            <a:ln cmpd="sng">
              <a:solidFill>
                <a:srgbClr val="000000"/>
              </a:solidFill>
            </a:ln>
          </c:spPr>
          <c:cat>
            <c:strRef>
              <c:f>ingresos!$E$9</c:f>
            </c:strRef>
          </c:cat>
          <c:val>
            <c:numRef>
              <c:f>ingresos!$F$12</c:f>
              <c:numCache/>
            </c:numRef>
          </c:val>
        </c:ser>
        <c:ser>
          <c:idx val="8"/>
          <c:order val="8"/>
          <c:spPr>
            <a:solidFill>
              <a:schemeClr val="accent3">
                <a:lumOff val="30000"/>
              </a:schemeClr>
            </a:solidFill>
            <a:ln cmpd="sng">
              <a:solidFill>
                <a:srgbClr val="000000"/>
              </a:solidFill>
            </a:ln>
          </c:spPr>
          <c:cat>
            <c:strRef>
              <c:f>ingresos!$E$9</c:f>
            </c:strRef>
          </c:cat>
          <c:val>
            <c:numRef>
              <c:f>ingresos!$G$12</c:f>
              <c:numCache/>
            </c:numRef>
          </c:val>
        </c:ser>
        <c:ser>
          <c:idx val="9"/>
          <c:order val="9"/>
          <c:spPr>
            <a:solidFill>
              <a:schemeClr val="accent4">
                <a:lumOff val="30000"/>
              </a:schemeClr>
            </a:solidFill>
            <a:ln cmpd="sng">
              <a:solidFill>
                <a:srgbClr val="000000"/>
              </a:solidFill>
            </a:ln>
          </c:spPr>
          <c:cat>
            <c:strRef>
              <c:f>ingresos!$E$9</c:f>
            </c:strRef>
          </c:cat>
          <c:val>
            <c:numRef>
              <c:f>ingresos!$H$12</c:f>
              <c:numCache/>
            </c:numRef>
          </c:val>
        </c:ser>
        <c:ser>
          <c:idx val="10"/>
          <c:order val="10"/>
          <c:spPr>
            <a:solidFill>
              <a:schemeClr val="accent5">
                <a:lumOff val="30000"/>
              </a:schemeClr>
            </a:solidFill>
            <a:ln cmpd="sng">
              <a:solidFill>
                <a:srgbClr val="000000"/>
              </a:solidFill>
            </a:ln>
          </c:spPr>
          <c:cat>
            <c:strRef>
              <c:f>ingresos!$E$9</c:f>
            </c:strRef>
          </c:cat>
          <c:val>
            <c:numRef>
              <c:f>ingresos!$I$12</c:f>
              <c:numCache/>
            </c:numRef>
          </c:val>
        </c:ser>
        <c:ser>
          <c:idx val="11"/>
          <c:order val="11"/>
          <c:spPr>
            <a:solidFill>
              <a:schemeClr val="accent6">
                <a:lumOff val="30000"/>
              </a:schemeClr>
            </a:solidFill>
            <a:ln cmpd="sng">
              <a:solidFill>
                <a:srgbClr val="000000"/>
              </a:solidFill>
            </a:ln>
          </c:spPr>
          <c:cat>
            <c:strRef>
              <c:f>ingresos!$E$9</c:f>
            </c:strRef>
          </c:cat>
          <c:val>
            <c:numRef>
              <c:f>ingresos!$J$12</c:f>
              <c:numCache/>
            </c:numRef>
          </c:val>
        </c:ser>
        <c:ser>
          <c:idx val="12"/>
          <c:order val="12"/>
          <c:cat>
            <c:strRef>
              <c:f>ingresos!$E$9</c:f>
            </c:strRef>
          </c:cat>
          <c:val>
            <c:numRef>
              <c:f>ingresos!$K$12</c:f>
              <c:numCache/>
            </c:numRef>
          </c:val>
        </c:ser>
        <c:axId val="683976118"/>
        <c:axId val="1681587083"/>
      </c:barChart>
      <c:catAx>
        <c:axId val="68397611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681587083"/>
      </c:catAx>
      <c:valAx>
        <c:axId val="168158708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683976118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Punto de equilibrio CRACKICE</a:t>
            </a:r>
          </a:p>
        </c:rich>
      </c:tx>
      <c:overlay val="0"/>
    </c:title>
    <c:plotArea>
      <c:layout/>
      <c:scatterChart>
        <c:scatterStyle val="lineMarker"/>
        <c:ser>
          <c:idx val="0"/>
          <c:order val="0"/>
          <c:tx>
            <c:v>TOTAL COSTOS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xVal>
            <c:numRef>
              <c:f>'Costos y punto de equilibrio'!$C$18:$N$18</c:f>
            </c:numRef>
          </c:xVal>
          <c:yVal>
            <c:numRef>
              <c:f>'Costos y punto de equilibrio'!$C$33:$N$33</c:f>
              <c:numCache/>
            </c:numRef>
          </c:yVal>
        </c:ser>
        <c:ser>
          <c:idx val="1"/>
          <c:order val="1"/>
          <c:tx>
            <c:v>TOTAL INGRESOS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cmpd="sng">
                <a:solidFill>
                  <a:schemeClr val="accent2"/>
                </a:solidFill>
              </a:ln>
            </c:spPr>
          </c:marker>
          <c:xVal>
            <c:numRef>
              <c:f>'Costos y punto de equilibrio'!$C$18:$N$18</c:f>
            </c:numRef>
          </c:xVal>
          <c:yVal>
            <c:numRef>
              <c:f>'Costos y punto de equilibrio'!$C$34:$N$34</c:f>
              <c:numCache/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0952048"/>
        <c:axId val="289377030"/>
      </c:scatterChart>
      <c:valAx>
        <c:axId val="1970952048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289377030"/>
      </c:valAx>
      <c:valAx>
        <c:axId val="28937703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970952048"/>
      </c:valAx>
    </c:plotArea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342900</xdr:colOff>
      <xdr:row>18</xdr:row>
      <xdr:rowOff>142875</xdr:rowOff>
    </xdr:from>
    <xdr:ext cx="4467225" cy="2695575"/>
    <xdr:graphicFrame>
      <xdr:nvGraphicFramePr>
        <xdr:cNvPr id="1637676090" name="Chart 1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7</xdr:col>
      <xdr:colOff>952500</xdr:colOff>
      <xdr:row>19</xdr:row>
      <xdr:rowOff>47625</xdr:rowOff>
    </xdr:from>
    <xdr:ext cx="4457700" cy="2828925"/>
    <xdr:graphicFrame>
      <xdr:nvGraphicFramePr>
        <xdr:cNvPr id="358576474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11</xdr:col>
      <xdr:colOff>123825</xdr:colOff>
      <xdr:row>19</xdr:row>
      <xdr:rowOff>76200</xdr:rowOff>
    </xdr:from>
    <xdr:ext cx="4467225" cy="2838450"/>
    <xdr:graphicFrame>
      <xdr:nvGraphicFramePr>
        <xdr:cNvPr id="1022341058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4</xdr:col>
      <xdr:colOff>28575</xdr:colOff>
      <xdr:row>9</xdr:row>
      <xdr:rowOff>133350</xdr:rowOff>
    </xdr:from>
    <xdr:ext cx="5715000" cy="3533775"/>
    <xdr:graphicFrame>
      <xdr:nvGraphicFramePr>
        <xdr:cNvPr id="100270556" name="Chart 4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342900</xdr:colOff>
      <xdr:row>36</xdr:row>
      <xdr:rowOff>47625</xdr:rowOff>
    </xdr:from>
    <xdr:ext cx="5800725" cy="3895725"/>
    <xdr:graphicFrame>
      <xdr:nvGraphicFramePr>
        <xdr:cNvPr id="244138974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5.71"/>
    <col customWidth="1" min="2" max="2" width="19.0"/>
    <col customWidth="1" min="3" max="4" width="2.0"/>
    <col customWidth="1" min="5" max="5" width="58.0"/>
    <col customWidth="1" min="6" max="6" width="25.57"/>
    <col customWidth="1" min="7" max="8" width="18.0"/>
    <col customWidth="1" min="9" max="9" width="21.86"/>
    <col customWidth="1" min="10" max="10" width="18.0"/>
    <col customWidth="1" min="11" max="11" width="23.86"/>
    <col customWidth="1" min="12" max="12" width="10.71"/>
    <col customWidth="1" min="13" max="13" width="28.14"/>
    <col customWidth="1" min="14" max="19" width="18.0"/>
    <col customWidth="1" min="20" max="26" width="10.71"/>
  </cols>
  <sheetData>
    <row r="1" ht="14.25" customHeight="1">
      <c r="E1" s="1" t="s">
        <v>0</v>
      </c>
      <c r="F1" s="2">
        <v>1.0</v>
      </c>
      <c r="G1" s="2">
        <v>2.0</v>
      </c>
      <c r="H1" s="2">
        <v>3.0</v>
      </c>
      <c r="I1" s="2">
        <v>4.0</v>
      </c>
      <c r="J1" s="2">
        <v>5.0</v>
      </c>
      <c r="K1" s="2">
        <v>6.0</v>
      </c>
    </row>
    <row r="2" ht="14.25" customHeight="1">
      <c r="E2" s="3" t="s">
        <v>1</v>
      </c>
      <c r="F2" s="4">
        <v>0.0</v>
      </c>
      <c r="G2" s="4">
        <v>0.15</v>
      </c>
      <c r="H2" s="4">
        <v>0.3</v>
      </c>
      <c r="I2" s="4">
        <v>0.5</v>
      </c>
      <c r="J2" s="4">
        <v>0.75</v>
      </c>
      <c r="K2" s="4">
        <v>1.0</v>
      </c>
      <c r="M2" s="3" t="s">
        <v>0</v>
      </c>
      <c r="N2" s="5">
        <v>1.0</v>
      </c>
      <c r="O2" s="5">
        <v>2.0</v>
      </c>
      <c r="P2" s="5">
        <v>3.0</v>
      </c>
      <c r="Q2" s="5">
        <v>4.0</v>
      </c>
      <c r="R2" s="5">
        <v>5.0</v>
      </c>
      <c r="S2" s="5">
        <v>6.0</v>
      </c>
    </row>
    <row r="3" ht="14.25" customHeight="1">
      <c r="A3" s="3" t="s">
        <v>2</v>
      </c>
      <c r="B3" s="3">
        <v>51682.0</v>
      </c>
      <c r="E3" s="3" t="s">
        <v>3</v>
      </c>
      <c r="F3" s="3">
        <v>0.0</v>
      </c>
      <c r="G3" s="6">
        <f t="shared" ref="G3:K3" si="1">$B$4*G2</f>
        <v>6201.84</v>
      </c>
      <c r="H3" s="6">
        <f t="shared" si="1"/>
        <v>12403.68</v>
      </c>
      <c r="I3" s="6">
        <f t="shared" si="1"/>
        <v>20672.8</v>
      </c>
      <c r="J3" s="6">
        <f t="shared" si="1"/>
        <v>31009.2</v>
      </c>
      <c r="K3" s="6">
        <f t="shared" si="1"/>
        <v>41345.6</v>
      </c>
      <c r="M3" s="3" t="s">
        <v>4</v>
      </c>
      <c r="N3" s="6">
        <f t="shared" ref="N3:S3" si="2">F3*($B$6+$B$7)+($B$4-F3)*$B$6</f>
        <v>89989.80887</v>
      </c>
      <c r="O3" s="6">
        <f t="shared" si="2"/>
        <v>93090.72887</v>
      </c>
      <c r="P3" s="6">
        <f t="shared" si="2"/>
        <v>96191.64887</v>
      </c>
      <c r="Q3" s="6">
        <f t="shared" si="2"/>
        <v>100326.2089</v>
      </c>
      <c r="R3" s="6">
        <f t="shared" si="2"/>
        <v>105494.4089</v>
      </c>
      <c r="S3" s="6">
        <f t="shared" si="2"/>
        <v>110662.6089</v>
      </c>
    </row>
    <row r="4" ht="14.25" customHeight="1">
      <c r="A4" s="3" t="s">
        <v>5</v>
      </c>
      <c r="B4" s="3">
        <f>B3*80%</f>
        <v>41345.6</v>
      </c>
      <c r="E4" s="3" t="s">
        <v>6</v>
      </c>
      <c r="F4" s="7">
        <v>0.0</v>
      </c>
      <c r="G4" s="8">
        <f t="shared" ref="G4:K4" si="3">G3*($B$7+$B$6)*16000</f>
        <v>265590261.3</v>
      </c>
      <c r="H4" s="8">
        <f t="shared" si="3"/>
        <v>531180522.6</v>
      </c>
      <c r="I4" s="8">
        <f t="shared" si="3"/>
        <v>885300870.9</v>
      </c>
      <c r="J4" s="8">
        <f t="shared" si="3"/>
        <v>1327951306</v>
      </c>
      <c r="K4" s="8">
        <f t="shared" si="3"/>
        <v>1770601742</v>
      </c>
      <c r="M4" s="3" t="s">
        <v>7</v>
      </c>
      <c r="N4" s="6">
        <f t="shared" ref="N4:S4" si="4">$B$6*$B$4</f>
        <v>89989.80887</v>
      </c>
      <c r="O4" s="6">
        <f t="shared" si="4"/>
        <v>89989.80887</v>
      </c>
      <c r="P4" s="6">
        <f t="shared" si="4"/>
        <v>89989.80887</v>
      </c>
      <c r="Q4" s="6">
        <f t="shared" si="4"/>
        <v>89989.80887</v>
      </c>
      <c r="R4" s="6">
        <f t="shared" si="4"/>
        <v>89989.80887</v>
      </c>
      <c r="S4" s="6">
        <f t="shared" si="4"/>
        <v>89989.80887</v>
      </c>
      <c r="T4" s="9">
        <f>S4/S3</f>
        <v>0.8131907407</v>
      </c>
    </row>
    <row r="5" ht="14.25" customHeight="1">
      <c r="A5" s="3" t="s">
        <v>8</v>
      </c>
      <c r="B5" s="8">
        <v>1.349847133E9</v>
      </c>
      <c r="E5" s="3" t="s">
        <v>9</v>
      </c>
      <c r="F5" s="8">
        <f>B5</f>
        <v>1349847133</v>
      </c>
      <c r="G5" s="7">
        <f t="shared" ref="G5:K5" si="5">$B$6*16000
*($B$4-G3)</f>
        <v>1223861401</v>
      </c>
      <c r="H5" s="7">
        <f t="shared" si="5"/>
        <v>1007885859</v>
      </c>
      <c r="I5" s="7">
        <f t="shared" si="5"/>
        <v>719918470.9</v>
      </c>
      <c r="J5" s="7">
        <f t="shared" si="5"/>
        <v>359959235.5</v>
      </c>
      <c r="K5" s="7">
        <f t="shared" si="5"/>
        <v>0</v>
      </c>
      <c r="M5" s="3" t="s">
        <v>10</v>
      </c>
      <c r="N5" s="8">
        <f t="shared" ref="N5:S5" si="6">$B$5</f>
        <v>1349847133</v>
      </c>
      <c r="O5" s="8">
        <f t="shared" si="6"/>
        <v>1349847133</v>
      </c>
      <c r="P5" s="8">
        <f t="shared" si="6"/>
        <v>1349847133</v>
      </c>
      <c r="Q5" s="8">
        <f t="shared" si="6"/>
        <v>1349847133</v>
      </c>
      <c r="R5" s="8">
        <f t="shared" si="6"/>
        <v>1349847133</v>
      </c>
      <c r="S5" s="8">
        <f t="shared" si="6"/>
        <v>1349847133</v>
      </c>
    </row>
    <row r="6" ht="14.25" customHeight="1">
      <c r="A6" s="3" t="s">
        <v>11</v>
      </c>
      <c r="B6" s="10">
        <f>((B5/B4)/15000)</f>
        <v>2.176526858</v>
      </c>
      <c r="E6" s="3" t="s">
        <v>12</v>
      </c>
      <c r="F6" s="8">
        <f t="shared" ref="F6:K6" si="7">F5+F4</f>
        <v>1349847133</v>
      </c>
      <c r="G6" s="7">
        <f t="shared" si="7"/>
        <v>1489451662</v>
      </c>
      <c r="H6" s="7">
        <f t="shared" si="7"/>
        <v>1539066382</v>
      </c>
      <c r="I6" s="7">
        <f t="shared" si="7"/>
        <v>1605219342</v>
      </c>
      <c r="J6" s="7">
        <f t="shared" si="7"/>
        <v>1687910542</v>
      </c>
      <c r="K6" s="7">
        <f t="shared" si="7"/>
        <v>1770601742</v>
      </c>
      <c r="M6" s="3" t="s">
        <v>13</v>
      </c>
      <c r="N6" s="8">
        <v>0.0</v>
      </c>
      <c r="O6" s="8">
        <v>1.396045288666668E8</v>
      </c>
      <c r="P6" s="8">
        <v>1.892192488666668E8</v>
      </c>
      <c r="Q6" s="8">
        <v>2.553722088666668E8</v>
      </c>
      <c r="R6" s="8">
        <v>3.380634088666668E8</v>
      </c>
      <c r="S6" s="8">
        <v>4.207546088666668E8</v>
      </c>
    </row>
    <row r="7" ht="14.25" customHeight="1">
      <c r="A7" s="3" t="s">
        <v>14</v>
      </c>
      <c r="B7" s="10">
        <v>0.5</v>
      </c>
      <c r="E7" s="3" t="s">
        <v>13</v>
      </c>
      <c r="F7" s="7">
        <f t="shared" ref="F7:K7" si="8">F6-$B$5</f>
        <v>0</v>
      </c>
      <c r="G7" s="7">
        <f t="shared" si="8"/>
        <v>139604528.9</v>
      </c>
      <c r="H7" s="7">
        <f t="shared" si="8"/>
        <v>189219248.9</v>
      </c>
      <c r="I7" s="7">
        <f t="shared" si="8"/>
        <v>255372208.9</v>
      </c>
      <c r="J7" s="7">
        <f t="shared" si="8"/>
        <v>338063408.9</v>
      </c>
      <c r="K7" s="7">
        <f t="shared" si="8"/>
        <v>420754608.9</v>
      </c>
      <c r="M7" s="11" t="s">
        <v>15</v>
      </c>
      <c r="N7" s="12">
        <f t="shared" ref="N7:S7" si="9">SUM(N5:N6)</f>
        <v>1349847133</v>
      </c>
      <c r="O7" s="12">
        <f t="shared" si="9"/>
        <v>1489451662</v>
      </c>
      <c r="P7" s="12">
        <f t="shared" si="9"/>
        <v>1539066382</v>
      </c>
      <c r="Q7" s="12">
        <f t="shared" si="9"/>
        <v>1605219342</v>
      </c>
      <c r="R7" s="12">
        <f t="shared" si="9"/>
        <v>1687910542</v>
      </c>
      <c r="S7" s="12">
        <f t="shared" si="9"/>
        <v>1770601742</v>
      </c>
    </row>
    <row r="8" ht="14.25" customHeight="1">
      <c r="A8" s="3" t="s">
        <v>16</v>
      </c>
      <c r="B8" s="8">
        <v>200000.0</v>
      </c>
      <c r="E8" s="3" t="s">
        <v>17</v>
      </c>
      <c r="F8" s="4">
        <f t="shared" ref="F8:K8" si="10">(F6-$B$5)/F6</f>
        <v>0</v>
      </c>
      <c r="G8" s="4">
        <f t="shared" si="10"/>
        <v>0.09372880802</v>
      </c>
      <c r="H8" s="4">
        <f t="shared" si="10"/>
        <v>0.1229441765</v>
      </c>
      <c r="I8" s="4">
        <f t="shared" si="10"/>
        <v>0.1590886692</v>
      </c>
      <c r="J8" s="4">
        <f t="shared" si="10"/>
        <v>0.2002851457</v>
      </c>
      <c r="K8" s="4">
        <f t="shared" si="10"/>
        <v>0.2376336806</v>
      </c>
    </row>
    <row r="9" ht="14.25" customHeight="1">
      <c r="A9" s="3" t="s">
        <v>18</v>
      </c>
      <c r="B9" s="8">
        <f>B8*12</f>
        <v>2400000</v>
      </c>
      <c r="E9" s="3" t="s">
        <v>19</v>
      </c>
      <c r="F9" s="7">
        <v>0.0</v>
      </c>
      <c r="G9" s="7">
        <f t="shared" ref="G9:K9" si="11">(G4*$B$10)+$B$9</f>
        <v>15679513.06</v>
      </c>
      <c r="H9" s="7">
        <f t="shared" si="11"/>
        <v>28959026.13</v>
      </c>
      <c r="I9" s="7">
        <f t="shared" si="11"/>
        <v>46665043.55</v>
      </c>
      <c r="J9" s="7">
        <f t="shared" si="11"/>
        <v>68797565.32</v>
      </c>
      <c r="K9" s="7">
        <f t="shared" si="11"/>
        <v>90930087.09</v>
      </c>
    </row>
    <row r="10" ht="13.5" customHeight="1">
      <c r="A10" s="3" t="s">
        <v>20</v>
      </c>
      <c r="B10" s="4">
        <v>0.05</v>
      </c>
      <c r="E10" s="3" t="s">
        <v>21</v>
      </c>
      <c r="F10" s="4">
        <v>0.0</v>
      </c>
      <c r="G10" s="4">
        <f t="shared" ref="G10:K10" si="12">G7/(G9)</f>
        <v>8.903626554</v>
      </c>
      <c r="H10" s="4">
        <f t="shared" si="12"/>
        <v>6.53403357</v>
      </c>
      <c r="I10" s="4">
        <f t="shared" si="12"/>
        <v>5.472451957</v>
      </c>
      <c r="J10" s="4">
        <f t="shared" si="12"/>
        <v>4.91388623</v>
      </c>
      <c r="K10" s="4">
        <f t="shared" si="12"/>
        <v>4.627232001</v>
      </c>
    </row>
    <row r="11" ht="14.25" customHeight="1">
      <c r="E11" s="3" t="s">
        <v>4</v>
      </c>
      <c r="F11" s="6">
        <f t="shared" ref="F11:K11" si="13">F3*($B$6+$B$7)</f>
        <v>0</v>
      </c>
      <c r="G11" s="6">
        <f t="shared" si="13"/>
        <v>16599.39133</v>
      </c>
      <c r="H11" s="6">
        <f t="shared" si="13"/>
        <v>33198.78266</v>
      </c>
      <c r="I11" s="6">
        <f t="shared" si="13"/>
        <v>55331.30443</v>
      </c>
      <c r="J11" s="6">
        <f t="shared" si="13"/>
        <v>82996.95665</v>
      </c>
      <c r="K11" s="6">
        <f t="shared" si="13"/>
        <v>110662.6089</v>
      </c>
    </row>
    <row r="12" ht="14.25" customHeight="1">
      <c r="E12" s="13" t="s">
        <v>22</v>
      </c>
      <c r="F12" s="8">
        <f t="shared" ref="F12:K12" si="14">F7-F9</f>
        <v>0</v>
      </c>
      <c r="G12" s="8">
        <f t="shared" si="14"/>
        <v>123925015.8</v>
      </c>
      <c r="H12" s="8">
        <f t="shared" si="14"/>
        <v>160260222.7</v>
      </c>
      <c r="I12" s="8">
        <f t="shared" si="14"/>
        <v>208707165.3</v>
      </c>
      <c r="J12" s="8">
        <f t="shared" si="14"/>
        <v>269265843.5</v>
      </c>
      <c r="K12" s="8">
        <f t="shared" si="14"/>
        <v>329824521.8</v>
      </c>
    </row>
    <row r="13" ht="14.25" customHeight="1">
      <c r="E13" s="11"/>
      <c r="F13" s="8"/>
      <c r="G13" s="8"/>
      <c r="H13" s="8"/>
      <c r="I13" s="8"/>
      <c r="J13" s="8"/>
      <c r="K13" s="8"/>
    </row>
    <row r="14" ht="14.25" customHeight="1">
      <c r="F14" s="14"/>
      <c r="G14" s="14"/>
    </row>
    <row r="15" ht="14.25" customHeight="1">
      <c r="C15" s="15"/>
      <c r="F15" s="14"/>
    </row>
    <row r="16" ht="14.25" customHeight="1">
      <c r="C16" s="15"/>
      <c r="D16" s="12"/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57.14"/>
    <col customWidth="1" min="3" max="3" width="17.0"/>
    <col customWidth="1" min="4" max="4" width="22.71"/>
    <col customWidth="1" min="5" max="5" width="55.14"/>
    <col customWidth="1" min="6" max="7" width="12.86"/>
    <col customWidth="1" min="8" max="8" width="13.86"/>
    <col customWidth="1" min="9" max="9" width="12.86"/>
    <col customWidth="1" min="10" max="13" width="14.29"/>
    <col customWidth="1" min="14" max="14" width="15.29"/>
    <col customWidth="1" min="15" max="15" width="21.57"/>
    <col customWidth="1" min="16" max="26" width="10.71"/>
  </cols>
  <sheetData>
    <row r="1" ht="14.25" customHeight="1"/>
    <row r="2" ht="14.25" customHeight="1">
      <c r="B2" s="16" t="s">
        <v>23</v>
      </c>
      <c r="C2" s="17"/>
    </row>
    <row r="3" ht="14.25" customHeight="1">
      <c r="B3" s="16" t="s">
        <v>24</v>
      </c>
      <c r="C3" s="17"/>
      <c r="E3" s="16" t="s">
        <v>25</v>
      </c>
      <c r="F3" s="17"/>
    </row>
    <row r="4" ht="14.25" customHeight="1">
      <c r="B4" s="3" t="s">
        <v>26</v>
      </c>
      <c r="C4" s="8">
        <v>900000.0</v>
      </c>
      <c r="E4" s="3" t="s">
        <v>27</v>
      </c>
      <c r="F4" s="7">
        <f t="shared" ref="F4:F5" si="1">1000000/12</f>
        <v>83333.33333</v>
      </c>
    </row>
    <row r="5" ht="14.25" customHeight="1">
      <c r="B5" s="7" t="s">
        <v>28</v>
      </c>
      <c r="C5" s="8">
        <v>100000.0</v>
      </c>
      <c r="E5" s="3" t="s">
        <v>29</v>
      </c>
      <c r="F5" s="7">
        <f t="shared" si="1"/>
        <v>83333.33333</v>
      </c>
    </row>
    <row r="6" ht="14.25" customHeight="1">
      <c r="B6" s="7" t="s">
        <v>30</v>
      </c>
      <c r="C6" s="8">
        <v>185000.0</v>
      </c>
      <c r="E6" s="3" t="s">
        <v>31</v>
      </c>
      <c r="F6" s="7">
        <f>500000/12</f>
        <v>41666.66667</v>
      </c>
    </row>
    <row r="7" ht="14.25" customHeight="1">
      <c r="B7" s="3" t="s">
        <v>32</v>
      </c>
      <c r="C7" s="8">
        <f>182500</f>
        <v>182500</v>
      </c>
      <c r="E7" s="3" t="s">
        <v>33</v>
      </c>
      <c r="F7" s="7">
        <f>600000*6/12</f>
        <v>300000</v>
      </c>
    </row>
    <row r="8" ht="14.25" customHeight="1">
      <c r="B8" s="16" t="s">
        <v>34</v>
      </c>
      <c r="C8" s="17"/>
    </row>
    <row r="9" ht="14.25" customHeight="1">
      <c r="B9" s="3" t="s">
        <v>35</v>
      </c>
      <c r="C9" s="8">
        <v>2.5E7</v>
      </c>
      <c r="D9" s="1"/>
    </row>
    <row r="10" ht="14.25" customHeight="1">
      <c r="B10" s="3" t="s">
        <v>36</v>
      </c>
      <c r="C10" s="8">
        <v>200000.0</v>
      </c>
    </row>
    <row r="11" ht="14.25" customHeight="1">
      <c r="B11" s="3" t="s">
        <v>37</v>
      </c>
      <c r="C11" s="8">
        <f>650000/5</f>
        <v>130000</v>
      </c>
    </row>
    <row r="12" ht="14.25" customHeight="1">
      <c r="B12" s="3" t="s">
        <v>38</v>
      </c>
      <c r="C12" s="8">
        <v>550000.0</v>
      </c>
    </row>
    <row r="13" ht="14.25" customHeight="1">
      <c r="B13" s="3" t="s">
        <v>39</v>
      </c>
      <c r="C13" s="8">
        <v>322000.0</v>
      </c>
    </row>
    <row r="14" ht="14.25" customHeight="1">
      <c r="B14" s="3" t="s">
        <v>40</v>
      </c>
      <c r="C14" s="8">
        <v>500000.0</v>
      </c>
    </row>
    <row r="15" ht="14.25" customHeight="1"/>
    <row r="16" ht="14.2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ht="14.25" customHeight="1">
      <c r="B17" s="1"/>
      <c r="C17" s="12"/>
    </row>
    <row r="18" ht="14.25" customHeight="1">
      <c r="A18" s="18"/>
      <c r="B18" s="17"/>
      <c r="C18" s="19" t="s">
        <v>41</v>
      </c>
      <c r="D18" s="20" t="s">
        <v>42</v>
      </c>
      <c r="E18" s="20" t="s">
        <v>43</v>
      </c>
      <c r="F18" s="20" t="s">
        <v>44</v>
      </c>
      <c r="G18" s="20" t="s">
        <v>45</v>
      </c>
      <c r="H18" s="20" t="s">
        <v>46</v>
      </c>
      <c r="I18" s="20" t="s">
        <v>47</v>
      </c>
      <c r="J18" s="20" t="s">
        <v>48</v>
      </c>
      <c r="K18" s="20" t="s">
        <v>49</v>
      </c>
      <c r="L18" s="20" t="s">
        <v>50</v>
      </c>
      <c r="M18" s="20" t="s">
        <v>51</v>
      </c>
      <c r="N18" s="20" t="s">
        <v>52</v>
      </c>
      <c r="O18" s="21" t="s">
        <v>53</v>
      </c>
    </row>
    <row r="19" ht="14.25" customHeight="1">
      <c r="A19" s="22" t="s">
        <v>54</v>
      </c>
      <c r="B19" s="23" t="s">
        <v>55</v>
      </c>
      <c r="C19" s="24">
        <v>900000.0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4">
        <f t="shared" ref="O19:O35" si="2">SUM(C19:N19)</f>
        <v>900000</v>
      </c>
    </row>
    <row r="20" ht="14.25" customHeight="1">
      <c r="A20" s="25"/>
      <c r="B20" s="26" t="s">
        <v>56</v>
      </c>
      <c r="C20" s="24">
        <v>100000.0</v>
      </c>
      <c r="D20" s="24">
        <v>100000.0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4">
        <f t="shared" si="2"/>
        <v>200000</v>
      </c>
    </row>
    <row r="21" ht="14.25" customHeight="1">
      <c r="A21" s="25"/>
      <c r="B21" s="26" t="s">
        <v>57</v>
      </c>
      <c r="C21" s="24">
        <v>185000.0</v>
      </c>
      <c r="D21" s="24">
        <v>185000.0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4">
        <f t="shared" si="2"/>
        <v>370000</v>
      </c>
    </row>
    <row r="22" ht="14.25" customHeight="1">
      <c r="A22" s="27"/>
      <c r="B22" s="23" t="s">
        <v>58</v>
      </c>
      <c r="C22" s="24">
        <f t="shared" ref="C22:D22" si="3">182500</f>
        <v>182500</v>
      </c>
      <c r="D22" s="24">
        <f t="shared" si="3"/>
        <v>182500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4">
        <f t="shared" si="2"/>
        <v>365000</v>
      </c>
    </row>
    <row r="23" ht="14.25" customHeight="1">
      <c r="A23" s="28" t="s">
        <v>59</v>
      </c>
      <c r="B23" s="29" t="s">
        <v>60</v>
      </c>
      <c r="C23" s="29"/>
      <c r="D23" s="29"/>
      <c r="E23" s="30">
        <f>25000000*15%</f>
        <v>3750000</v>
      </c>
      <c r="F23" s="29"/>
      <c r="G23" s="29"/>
      <c r="H23" s="29"/>
      <c r="I23" s="29">
        <f>25000000*85%</f>
        <v>21250000</v>
      </c>
      <c r="J23" s="29"/>
      <c r="K23" s="29"/>
      <c r="L23" s="29"/>
      <c r="M23" s="29"/>
      <c r="N23" s="29"/>
      <c r="O23" s="30">
        <f t="shared" si="2"/>
        <v>25000000</v>
      </c>
    </row>
    <row r="24" ht="14.25" customHeight="1">
      <c r="A24" s="25"/>
      <c r="B24" s="29" t="s">
        <v>61</v>
      </c>
      <c r="C24" s="29"/>
      <c r="D24" s="29"/>
      <c r="E24" s="29"/>
      <c r="F24" s="29"/>
      <c r="G24" s="29"/>
      <c r="H24" s="29"/>
      <c r="I24" s="30">
        <v>200000.0</v>
      </c>
      <c r="J24" s="30">
        <v>200000.0</v>
      </c>
      <c r="K24" s="30">
        <v>200000.0</v>
      </c>
      <c r="L24" s="30">
        <v>200000.0</v>
      </c>
      <c r="M24" s="30">
        <v>200000.0</v>
      </c>
      <c r="N24" s="30">
        <v>200000.0</v>
      </c>
      <c r="O24" s="30">
        <f t="shared" si="2"/>
        <v>1200000</v>
      </c>
    </row>
    <row r="25" ht="14.25" customHeight="1">
      <c r="A25" s="25"/>
      <c r="B25" s="29" t="s">
        <v>62</v>
      </c>
      <c r="C25" s="29"/>
      <c r="D25" s="29"/>
      <c r="E25" s="29"/>
      <c r="F25" s="29"/>
      <c r="G25" s="30"/>
      <c r="H25" s="29"/>
      <c r="I25" s="29"/>
      <c r="J25" s="30">
        <f t="shared" ref="J25:N25" si="4">650000/5</f>
        <v>130000</v>
      </c>
      <c r="K25" s="30">
        <f t="shared" si="4"/>
        <v>130000</v>
      </c>
      <c r="L25" s="30">
        <f t="shared" si="4"/>
        <v>130000</v>
      </c>
      <c r="M25" s="30">
        <f t="shared" si="4"/>
        <v>130000</v>
      </c>
      <c r="N25" s="30">
        <f t="shared" si="4"/>
        <v>130000</v>
      </c>
      <c r="O25" s="30">
        <f t="shared" si="2"/>
        <v>650000</v>
      </c>
    </row>
    <row r="26" ht="14.25" customHeight="1">
      <c r="A26" s="25"/>
      <c r="B26" s="29" t="s">
        <v>63</v>
      </c>
      <c r="C26" s="29"/>
      <c r="D26" s="29"/>
      <c r="E26" s="29"/>
      <c r="F26" s="29"/>
      <c r="G26" s="30">
        <v>550000.0</v>
      </c>
      <c r="H26" s="29"/>
      <c r="I26" s="29"/>
      <c r="J26" s="29"/>
      <c r="K26" s="29"/>
      <c r="L26" s="29"/>
      <c r="M26" s="29"/>
      <c r="N26" s="29"/>
      <c r="O26" s="30">
        <f t="shared" si="2"/>
        <v>550000</v>
      </c>
    </row>
    <row r="27" ht="14.25" customHeight="1">
      <c r="A27" s="25"/>
      <c r="B27" s="29" t="s">
        <v>64</v>
      </c>
      <c r="C27" s="29"/>
      <c r="D27" s="29"/>
      <c r="E27" s="29"/>
      <c r="F27" s="29"/>
      <c r="G27" s="30">
        <v>322000.0</v>
      </c>
      <c r="H27" s="29"/>
      <c r="I27" s="29"/>
      <c r="J27" s="29"/>
      <c r="K27" s="29"/>
      <c r="L27" s="29"/>
      <c r="M27" s="29"/>
      <c r="N27" s="29"/>
      <c r="O27" s="30">
        <f t="shared" si="2"/>
        <v>322000</v>
      </c>
    </row>
    <row r="28" ht="14.25" customHeight="1">
      <c r="A28" s="25"/>
      <c r="B28" s="29" t="s">
        <v>65</v>
      </c>
      <c r="C28" s="30">
        <v>500000.0</v>
      </c>
      <c r="D28" s="30">
        <v>500000.0</v>
      </c>
      <c r="E28" s="30">
        <v>500000.0</v>
      </c>
      <c r="F28" s="30">
        <v>500000.0</v>
      </c>
      <c r="G28" s="30">
        <v>500000.0</v>
      </c>
      <c r="H28" s="30">
        <v>500000.0</v>
      </c>
      <c r="I28" s="30">
        <v>500000.0</v>
      </c>
      <c r="J28" s="30">
        <v>500000.0</v>
      </c>
      <c r="K28" s="30">
        <v>500000.0</v>
      </c>
      <c r="L28" s="30">
        <v>500000.0</v>
      </c>
      <c r="M28" s="30">
        <v>500000.0</v>
      </c>
      <c r="N28" s="30">
        <v>500000.0</v>
      </c>
      <c r="O28" s="30">
        <f t="shared" si="2"/>
        <v>6000000</v>
      </c>
    </row>
    <row r="29" ht="14.25" customHeight="1">
      <c r="A29" s="25"/>
      <c r="B29" s="29" t="s">
        <v>66</v>
      </c>
      <c r="C29" s="31"/>
      <c r="D29" s="29"/>
      <c r="E29" s="29"/>
      <c r="F29" s="29"/>
      <c r="G29" s="29"/>
      <c r="H29" s="29"/>
      <c r="I29" s="31">
        <f t="shared" ref="I29:N29" si="5">1000000/12</f>
        <v>83333.33333</v>
      </c>
      <c r="J29" s="31">
        <f t="shared" si="5"/>
        <v>83333.33333</v>
      </c>
      <c r="K29" s="31">
        <f t="shared" si="5"/>
        <v>83333.33333</v>
      </c>
      <c r="L29" s="31">
        <f t="shared" si="5"/>
        <v>83333.33333</v>
      </c>
      <c r="M29" s="31">
        <f t="shared" si="5"/>
        <v>83333.33333</v>
      </c>
      <c r="N29" s="31">
        <f t="shared" si="5"/>
        <v>83333.33333</v>
      </c>
      <c r="O29" s="30">
        <f t="shared" si="2"/>
        <v>500000</v>
      </c>
    </row>
    <row r="30" ht="14.25" customHeight="1">
      <c r="A30" s="25"/>
      <c r="B30" s="29" t="s">
        <v>67</v>
      </c>
      <c r="C30" s="31"/>
      <c r="D30" s="29"/>
      <c r="E30" s="29"/>
      <c r="F30" s="29"/>
      <c r="G30" s="29"/>
      <c r="H30" s="29"/>
      <c r="I30" s="31">
        <f t="shared" ref="I30:N30" si="6">1000000/12</f>
        <v>83333.33333</v>
      </c>
      <c r="J30" s="31">
        <f t="shared" si="6"/>
        <v>83333.33333</v>
      </c>
      <c r="K30" s="31">
        <f t="shared" si="6"/>
        <v>83333.33333</v>
      </c>
      <c r="L30" s="31">
        <f t="shared" si="6"/>
        <v>83333.33333</v>
      </c>
      <c r="M30" s="31">
        <f t="shared" si="6"/>
        <v>83333.33333</v>
      </c>
      <c r="N30" s="31">
        <f t="shared" si="6"/>
        <v>83333.33333</v>
      </c>
      <c r="O30" s="30">
        <f t="shared" si="2"/>
        <v>500000</v>
      </c>
    </row>
    <row r="31" ht="14.25" customHeight="1">
      <c r="A31" s="25"/>
      <c r="B31" s="29" t="s">
        <v>68</v>
      </c>
      <c r="C31" s="31"/>
      <c r="D31" s="29"/>
      <c r="E31" s="29"/>
      <c r="F31" s="29"/>
      <c r="G31" s="29"/>
      <c r="H31" s="29"/>
      <c r="I31" s="31">
        <f t="shared" ref="I31:N31" si="7">500000/12</f>
        <v>41666.66667</v>
      </c>
      <c r="J31" s="31">
        <f t="shared" si="7"/>
        <v>41666.66667</v>
      </c>
      <c r="K31" s="31">
        <f t="shared" si="7"/>
        <v>41666.66667</v>
      </c>
      <c r="L31" s="31">
        <f t="shared" si="7"/>
        <v>41666.66667</v>
      </c>
      <c r="M31" s="31">
        <f t="shared" si="7"/>
        <v>41666.66667</v>
      </c>
      <c r="N31" s="31">
        <f t="shared" si="7"/>
        <v>41666.66667</v>
      </c>
      <c r="O31" s="30">
        <f t="shared" si="2"/>
        <v>250000</v>
      </c>
    </row>
    <row r="32" ht="14.25" customHeight="1">
      <c r="A32" s="27"/>
      <c r="B32" s="32" t="s">
        <v>69</v>
      </c>
      <c r="C32" s="33"/>
      <c r="D32" s="32"/>
      <c r="E32" s="32"/>
      <c r="F32" s="32"/>
      <c r="G32" s="32"/>
      <c r="H32" s="32"/>
      <c r="I32" s="33">
        <f t="shared" ref="I32:N32" si="8">600000*6/12</f>
        <v>300000</v>
      </c>
      <c r="J32" s="33">
        <f t="shared" si="8"/>
        <v>300000</v>
      </c>
      <c r="K32" s="33">
        <f t="shared" si="8"/>
        <v>300000</v>
      </c>
      <c r="L32" s="33">
        <f t="shared" si="8"/>
        <v>300000</v>
      </c>
      <c r="M32" s="33">
        <f t="shared" si="8"/>
        <v>300000</v>
      </c>
      <c r="N32" s="33">
        <f t="shared" si="8"/>
        <v>300000</v>
      </c>
      <c r="O32" s="30">
        <f t="shared" si="2"/>
        <v>1800000</v>
      </c>
    </row>
    <row r="33" ht="14.25" customHeight="1">
      <c r="A33" s="34"/>
      <c r="B33" s="35" t="s">
        <v>70</v>
      </c>
      <c r="C33" s="36">
        <f t="shared" ref="C33:N33" si="9">SUM(C19:C32)</f>
        <v>1867500</v>
      </c>
      <c r="D33" s="36">
        <f t="shared" si="9"/>
        <v>967500</v>
      </c>
      <c r="E33" s="36">
        <f t="shared" si="9"/>
        <v>4250000</v>
      </c>
      <c r="F33" s="36">
        <f t="shared" si="9"/>
        <v>500000</v>
      </c>
      <c r="G33" s="36">
        <f t="shared" si="9"/>
        <v>1372000</v>
      </c>
      <c r="H33" s="36">
        <f t="shared" si="9"/>
        <v>500000</v>
      </c>
      <c r="I33" s="36">
        <f t="shared" si="9"/>
        <v>22458333.33</v>
      </c>
      <c r="J33" s="36">
        <f t="shared" si="9"/>
        <v>1338333.333</v>
      </c>
      <c r="K33" s="36">
        <f t="shared" si="9"/>
        <v>1338333.333</v>
      </c>
      <c r="L33" s="36">
        <f t="shared" si="9"/>
        <v>1338333.333</v>
      </c>
      <c r="M33" s="36">
        <f t="shared" si="9"/>
        <v>1338333.333</v>
      </c>
      <c r="N33" s="37">
        <f t="shared" si="9"/>
        <v>1338333.333</v>
      </c>
      <c r="O33" s="37">
        <f t="shared" si="2"/>
        <v>38607000</v>
      </c>
    </row>
    <row r="34" ht="14.25" customHeight="1">
      <c r="A34" s="38"/>
      <c r="B34" s="39" t="s">
        <v>71</v>
      </c>
      <c r="C34" s="40">
        <v>0.0</v>
      </c>
      <c r="D34" s="40">
        <v>0.0</v>
      </c>
      <c r="E34" s="40">
        <v>0.0</v>
      </c>
      <c r="F34" s="40">
        <v>0.0</v>
      </c>
      <c r="G34" s="40">
        <v>0.0</v>
      </c>
      <c r="H34" s="40">
        <v>0.0</v>
      </c>
      <c r="I34" s="40">
        <v>0.0</v>
      </c>
      <c r="J34" s="40">
        <v>1.5679513064000003E7</v>
      </c>
      <c r="K34" s="40">
        <v>2.8959026128000006E7</v>
      </c>
      <c r="L34" s="40">
        <v>4.6665043546666674E7</v>
      </c>
      <c r="M34" s="40">
        <v>6.879756532000001E7</v>
      </c>
      <c r="N34" s="40">
        <v>9.093008709333335E7</v>
      </c>
      <c r="O34" s="41">
        <f t="shared" si="2"/>
        <v>251031235.2</v>
      </c>
    </row>
    <row r="35" ht="14.25" customHeight="1">
      <c r="A35" s="38"/>
      <c r="B35" s="42" t="s">
        <v>72</v>
      </c>
      <c r="C35" s="43">
        <f t="shared" ref="C35:N35" si="10">C34-C33</f>
        <v>-1867500</v>
      </c>
      <c r="D35" s="43">
        <f t="shared" si="10"/>
        <v>-967500</v>
      </c>
      <c r="E35" s="43">
        <f t="shared" si="10"/>
        <v>-4250000</v>
      </c>
      <c r="F35" s="43">
        <f t="shared" si="10"/>
        <v>-500000</v>
      </c>
      <c r="G35" s="43">
        <f t="shared" si="10"/>
        <v>-1372000</v>
      </c>
      <c r="H35" s="43">
        <f t="shared" si="10"/>
        <v>-500000</v>
      </c>
      <c r="I35" s="43">
        <f t="shared" si="10"/>
        <v>-22458333.33</v>
      </c>
      <c r="J35" s="43">
        <f t="shared" si="10"/>
        <v>14341179.73</v>
      </c>
      <c r="K35" s="43">
        <f t="shared" si="10"/>
        <v>27620692.79</v>
      </c>
      <c r="L35" s="43">
        <f t="shared" si="10"/>
        <v>45326710.21</v>
      </c>
      <c r="M35" s="43">
        <f t="shared" si="10"/>
        <v>67459231.99</v>
      </c>
      <c r="N35" s="44">
        <f t="shared" si="10"/>
        <v>89591753.76</v>
      </c>
      <c r="O35" s="44">
        <f t="shared" si="2"/>
        <v>212424235.2</v>
      </c>
    </row>
    <row r="36" ht="14.25" customHeight="1">
      <c r="A36" s="45"/>
      <c r="B36" s="46" t="s">
        <v>73</v>
      </c>
      <c r="C36" s="47" t="str">
        <f t="shared" ref="C36:O36" si="11">(C34-C33)/C34</f>
        <v>#DIV/0!</v>
      </c>
      <c r="D36" s="47" t="str">
        <f t="shared" si="11"/>
        <v>#DIV/0!</v>
      </c>
      <c r="E36" s="47" t="str">
        <f t="shared" si="11"/>
        <v>#DIV/0!</v>
      </c>
      <c r="F36" s="47" t="str">
        <f t="shared" si="11"/>
        <v>#DIV/0!</v>
      </c>
      <c r="G36" s="47" t="str">
        <f t="shared" si="11"/>
        <v>#DIV/0!</v>
      </c>
      <c r="H36" s="47" t="str">
        <f t="shared" si="11"/>
        <v>#DIV/0!</v>
      </c>
      <c r="I36" s="47" t="str">
        <f t="shared" si="11"/>
        <v>#DIV/0!</v>
      </c>
      <c r="J36" s="47">
        <f t="shared" si="11"/>
        <v>0.9146444582</v>
      </c>
      <c r="K36" s="47">
        <f t="shared" si="11"/>
        <v>0.9537852783</v>
      </c>
      <c r="L36" s="47">
        <f t="shared" si="11"/>
        <v>0.9713204311</v>
      </c>
      <c r="M36" s="47">
        <f t="shared" si="11"/>
        <v>0.9805467922</v>
      </c>
      <c r="N36" s="47">
        <f t="shared" si="11"/>
        <v>0.9852817326</v>
      </c>
      <c r="O36" s="48">
        <f t="shared" si="11"/>
        <v>0.8462063895</v>
      </c>
    </row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</sheetData>
  <mergeCells count="8">
    <mergeCell ref="B2:C2"/>
    <mergeCell ref="B3:C3"/>
    <mergeCell ref="E3:F3"/>
    <mergeCell ref="B8:C8"/>
    <mergeCell ref="A18:B18"/>
    <mergeCell ref="A19:A22"/>
    <mergeCell ref="A23:A32"/>
    <mergeCell ref="A33:A36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34.57"/>
    <col customWidth="1" min="3" max="3" width="15.29"/>
    <col customWidth="1" min="4" max="8" width="12.71"/>
    <col customWidth="1" min="9" max="9" width="15.29"/>
    <col customWidth="1" min="10" max="26" width="10.71"/>
  </cols>
  <sheetData>
    <row r="1" ht="14.25" customHeight="1"/>
    <row r="2" ht="14.25" customHeight="1"/>
    <row r="3" ht="14.25" customHeight="1">
      <c r="C3" s="49" t="s">
        <v>47</v>
      </c>
      <c r="D3" s="49" t="s">
        <v>48</v>
      </c>
      <c r="E3" s="49" t="s">
        <v>49</v>
      </c>
      <c r="F3" s="49" t="s">
        <v>50</v>
      </c>
      <c r="G3" s="49" t="s">
        <v>51</v>
      </c>
      <c r="H3" s="49" t="s">
        <v>52</v>
      </c>
      <c r="I3" s="49" t="s">
        <v>74</v>
      </c>
    </row>
    <row r="4" ht="14.25" customHeight="1">
      <c r="A4" s="28" t="s">
        <v>59</v>
      </c>
      <c r="B4" s="29" t="s">
        <v>60</v>
      </c>
      <c r="C4" s="12">
        <v>2.125E7</v>
      </c>
      <c r="D4" s="12"/>
      <c r="E4" s="12"/>
      <c r="F4" s="12"/>
      <c r="G4" s="12"/>
      <c r="H4" s="12"/>
      <c r="I4" s="12">
        <f t="shared" ref="I4:I13" si="1">SUM(C4:H4)</f>
        <v>21250000</v>
      </c>
    </row>
    <row r="5" ht="14.25" customHeight="1">
      <c r="A5" s="25"/>
      <c r="B5" s="29" t="s">
        <v>61</v>
      </c>
      <c r="C5" s="12">
        <v>200000.0</v>
      </c>
      <c r="D5" s="12">
        <v>200000.0</v>
      </c>
      <c r="E5" s="12">
        <v>200000.0</v>
      </c>
      <c r="F5" s="12">
        <v>200000.0</v>
      </c>
      <c r="G5" s="12">
        <v>200000.0</v>
      </c>
      <c r="H5" s="12">
        <v>200000.0</v>
      </c>
      <c r="I5" s="12">
        <f t="shared" si="1"/>
        <v>1200000</v>
      </c>
    </row>
    <row r="6" ht="14.25" customHeight="1">
      <c r="A6" s="25"/>
      <c r="B6" s="29" t="s">
        <v>62</v>
      </c>
      <c r="C6" s="12"/>
      <c r="D6" s="12">
        <v>130000.0</v>
      </c>
      <c r="E6" s="12">
        <v>130000.0</v>
      </c>
      <c r="F6" s="12">
        <v>130000.0</v>
      </c>
      <c r="G6" s="12">
        <v>130000.0</v>
      </c>
      <c r="H6" s="12">
        <v>130000.0</v>
      </c>
      <c r="I6" s="12">
        <f t="shared" si="1"/>
        <v>650000</v>
      </c>
    </row>
    <row r="7" ht="14.25" customHeight="1">
      <c r="A7" s="25"/>
      <c r="B7" s="29" t="s">
        <v>63</v>
      </c>
      <c r="C7" s="12"/>
      <c r="D7" s="12"/>
      <c r="E7" s="12"/>
      <c r="F7" s="12"/>
      <c r="G7" s="12"/>
      <c r="H7" s="12"/>
      <c r="I7" s="12">
        <f t="shared" si="1"/>
        <v>0</v>
      </c>
    </row>
    <row r="8" ht="14.25" customHeight="1">
      <c r="A8" s="25"/>
      <c r="B8" s="29" t="s">
        <v>64</v>
      </c>
      <c r="C8" s="12"/>
      <c r="D8" s="12"/>
      <c r="E8" s="12"/>
      <c r="F8" s="12"/>
      <c r="G8" s="12"/>
      <c r="H8" s="12"/>
      <c r="I8" s="12">
        <f t="shared" si="1"/>
        <v>0</v>
      </c>
    </row>
    <row r="9" ht="14.25" customHeight="1">
      <c r="A9" s="25"/>
      <c r="B9" s="29" t="s">
        <v>65</v>
      </c>
      <c r="C9" s="12">
        <v>500000.0</v>
      </c>
      <c r="D9" s="12">
        <v>500000.0</v>
      </c>
      <c r="E9" s="12">
        <v>500000.0</v>
      </c>
      <c r="F9" s="12">
        <v>500000.0</v>
      </c>
      <c r="G9" s="12">
        <v>500000.0</v>
      </c>
      <c r="H9" s="12">
        <v>500000.0</v>
      </c>
      <c r="I9" s="12">
        <f t="shared" si="1"/>
        <v>3000000</v>
      </c>
    </row>
    <row r="10" ht="14.25" customHeight="1">
      <c r="A10" s="25"/>
      <c r="B10" s="29" t="s">
        <v>66</v>
      </c>
      <c r="C10" s="12">
        <v>83333.33333333333</v>
      </c>
      <c r="D10" s="12">
        <v>83333.33333333333</v>
      </c>
      <c r="E10" s="12">
        <v>83333.33333333333</v>
      </c>
      <c r="F10" s="12">
        <v>83333.33333333333</v>
      </c>
      <c r="G10" s="12">
        <v>83333.33333333333</v>
      </c>
      <c r="H10" s="12">
        <v>83333.33333333333</v>
      </c>
      <c r="I10" s="12">
        <f t="shared" si="1"/>
        <v>500000</v>
      </c>
    </row>
    <row r="11" ht="14.25" customHeight="1">
      <c r="A11" s="25"/>
      <c r="B11" s="29" t="s">
        <v>67</v>
      </c>
      <c r="C11" s="12">
        <v>83333.33333333333</v>
      </c>
      <c r="D11" s="12">
        <v>83333.33333333333</v>
      </c>
      <c r="E11" s="12">
        <v>83333.33333333333</v>
      </c>
      <c r="F11" s="12">
        <v>83333.33333333333</v>
      </c>
      <c r="G11" s="12">
        <v>83333.33333333333</v>
      </c>
      <c r="H11" s="12">
        <v>83333.33333333333</v>
      </c>
      <c r="I11" s="12">
        <f t="shared" si="1"/>
        <v>500000</v>
      </c>
    </row>
    <row r="12" ht="14.25" customHeight="1">
      <c r="A12" s="25"/>
      <c r="B12" s="29" t="s">
        <v>68</v>
      </c>
      <c r="C12" s="12">
        <v>41666.666666666664</v>
      </c>
      <c r="D12" s="12">
        <v>41666.666666666664</v>
      </c>
      <c r="E12" s="12">
        <v>41666.666666666664</v>
      </c>
      <c r="F12" s="12">
        <v>41666.666666666664</v>
      </c>
      <c r="G12" s="12">
        <v>41666.666666666664</v>
      </c>
      <c r="H12" s="12">
        <v>41666.666666666664</v>
      </c>
      <c r="I12" s="12">
        <f t="shared" si="1"/>
        <v>250000</v>
      </c>
    </row>
    <row r="13" ht="14.25" customHeight="1">
      <c r="A13" s="27"/>
      <c r="B13" s="32" t="s">
        <v>69</v>
      </c>
      <c r="C13" s="12">
        <v>300000.0</v>
      </c>
      <c r="D13" s="12">
        <v>300000.0</v>
      </c>
      <c r="E13" s="12">
        <v>300000.0</v>
      </c>
      <c r="F13" s="12">
        <v>300000.0</v>
      </c>
      <c r="G13" s="12">
        <v>300000.0</v>
      </c>
      <c r="H13" s="12">
        <v>300000.0</v>
      </c>
      <c r="I13" s="12">
        <f t="shared" si="1"/>
        <v>1800000</v>
      </c>
    </row>
    <row r="14" ht="14.25" customHeight="1">
      <c r="B14" s="50" t="s">
        <v>75</v>
      </c>
      <c r="C14" s="12">
        <f t="shared" ref="C14:I14" si="2">SUM(C4:C13)</f>
        <v>22458333.33</v>
      </c>
      <c r="D14" s="12">
        <f t="shared" si="2"/>
        <v>1338333.333</v>
      </c>
      <c r="E14" s="12">
        <f t="shared" si="2"/>
        <v>1338333.333</v>
      </c>
      <c r="F14" s="12">
        <f t="shared" si="2"/>
        <v>1338333.333</v>
      </c>
      <c r="G14" s="12">
        <f t="shared" si="2"/>
        <v>1338333.333</v>
      </c>
      <c r="H14" s="12">
        <f t="shared" si="2"/>
        <v>1338333.333</v>
      </c>
      <c r="I14" s="12">
        <f t="shared" si="2"/>
        <v>29150000</v>
      </c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">
    <mergeCell ref="A4:A13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2023-11-26T00:09:16Z</dcterms:created>
  <dc:creator>diego julián chamorro tovar</dc:creator>
</cp:coreProperties>
</file>